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<sst xmlns="http://schemas.openxmlformats.org/spreadsheetml/2006/main" count="171" uniqueCount="123">
  <si>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</si>
  <si>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</si>
  <si>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</si>
  <si>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</si>
  <si>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</si>
  <si>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</si>
  <si>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</si>
  <si>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</si>
  <si>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</si>
  <si>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</si>
  <si>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</si>
  <si>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</si>
  <si>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</si>
  <si>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</si>
  <si>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</si>
  <si>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</si>
  <si>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</si>
  <si>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</si>
  <si>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</si>
  <si>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</si>
  <si>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</si>
  <si>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</si>
  <si>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</si>
  <si>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</si>
  <si>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</si>
  <si>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</si>
  <si>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</si>
  <si>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</si>
  <si>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</si>
  <si>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</si>
  <si>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</si>
  <si>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</si>
  <si>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</si>
  <si>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</si>
  <si>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</si>
  <si>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</si>
  <si>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</si>
  <si>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</si>
  <si>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</si>
  <si>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</si>
  <si>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</si>
  <si>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</si>
  <si>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</si>
  <si>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</si>
  <si>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</si>
  <si>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</si>
  <si>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</si>
  <si>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</si>
  <si>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</si>
  <si>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</si>
  <si>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</si>
  <si>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</si>
  <si>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</si>
  <si>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</si>
  <si>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</si>
  <si>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</si>
  <si>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</si>
  <si>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</si>
  <si>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</si>
  <si>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</si>
  <si>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</si>
  <si>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</si>
  <si>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</si>
  <si>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</si>
  <si>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</si>
  <si>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</si>
  <si>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</si>
  <si>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</si>
  <si>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</si>
  <si>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</si>
  <si>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</si>
  <si>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</si>
  <si>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</si>
  <si>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</si>
  <si>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</si>
  <si>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</si>
  <si>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</si>
  <si>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</si>
  <si>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</si>
  <si>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</si>
  <si>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</si>
  <si>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</si>
  <si>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</si>
  <si>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</si>
  <si>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</si>
  <si>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</si>
  <si>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</si>
  <si>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</si>
  <si>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</si>
  <si>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</si>
  <si>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</si>
  <si>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</si>
  <si>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</si>
  <si>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</si>
  <si>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</si>
  <si>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</si>
  <si>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</si>
  <si>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</si>
  <si>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</si>
  <si>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</si>
  <si>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</si>
  <si>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</si>
  <si>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</si>
  <si>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</si>
  <si>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</si>
  <si>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</si>
  <si>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</si>
  <si>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</si>
  <si>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</si>
  <si>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</si>
  <si>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</si>
  <si>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</si>
  <si>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</si>
  <si>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</si>
  <si>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</si>
  <si>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</si>
  <si>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</si>
  <si>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</si>
  <si>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</si>
  <si>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</si>
  <si>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</si>
  <si>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</si>
  <si>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2016 рік станом на 19.05.2016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</si>
</sst>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18381995"/>
        <c:axId val="31220228"/>
      </c:bar3DChart>
      <c:catAx>
        <c:axId val="1838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20228"/>
        <c:crosses val="autoZero"/>
        <c:auto val="1"/>
        <c:lblOffset val="100"/>
        <c:tickLblSkip val="1"/>
        <c:noMultiLvlLbl val="0"/>
      </c:catAx>
      <c:valAx>
        <c:axId val="31220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819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12546597"/>
        <c:axId val="45810510"/>
      </c:bar3D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10510"/>
        <c:crosses val="autoZero"/>
        <c:auto val="1"/>
        <c:lblOffset val="100"/>
        <c:tickLblSkip val="1"/>
        <c:noMultiLvlLbl val="0"/>
      </c:catAx>
      <c:valAx>
        <c:axId val="45810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65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9641407"/>
        <c:axId val="19663800"/>
      </c:bar3DChart>
      <c:catAx>
        <c:axId val="96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63800"/>
        <c:crosses val="autoZero"/>
        <c:auto val="1"/>
        <c:lblOffset val="100"/>
        <c:tickLblSkip val="1"/>
        <c:noMultiLvlLbl val="0"/>
      </c:catAx>
      <c:valAx>
        <c:axId val="19663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14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42756473"/>
        <c:axId val="49263938"/>
      </c:bar3DChart>
      <c:catAx>
        <c:axId val="4275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63938"/>
        <c:crosses val="autoZero"/>
        <c:auto val="1"/>
        <c:lblOffset val="100"/>
        <c:tickLblSkip val="1"/>
        <c:noMultiLvlLbl val="0"/>
      </c:catAx>
      <c:valAx>
        <c:axId val="49263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56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40722259"/>
        <c:axId val="30956012"/>
      </c:bar3DChart>
      <c:catAx>
        <c:axId val="4072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56012"/>
        <c:crosses val="autoZero"/>
        <c:auto val="1"/>
        <c:lblOffset val="100"/>
        <c:tickLblSkip val="2"/>
        <c:noMultiLvlLbl val="0"/>
      </c:catAx>
      <c:valAx>
        <c:axId val="30956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222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10168653"/>
        <c:axId val="24409014"/>
      </c:bar3DChart>
      <c:catAx>
        <c:axId val="1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09014"/>
        <c:crosses val="autoZero"/>
        <c:auto val="1"/>
        <c:lblOffset val="100"/>
        <c:tickLblSkip val="1"/>
        <c:noMultiLvlLbl val="0"/>
      </c:catAx>
      <c:valAx>
        <c:axId val="24409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86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18354535"/>
        <c:axId val="30973088"/>
      </c:bar3DChart>
      <c:catAx>
        <c:axId val="1835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973088"/>
        <c:crosses val="autoZero"/>
        <c:auto val="1"/>
        <c:lblOffset val="100"/>
        <c:tickLblSkip val="1"/>
        <c:noMultiLvlLbl val="0"/>
      </c:catAx>
      <c:valAx>
        <c:axId val="30973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545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10322337"/>
        <c:axId val="25792170"/>
      </c:bar3DChart>
      <c:catAx>
        <c:axId val="1032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92170"/>
        <c:crosses val="autoZero"/>
        <c:auto val="1"/>
        <c:lblOffset val="100"/>
        <c:tickLblSkip val="1"/>
        <c:noMultiLvlLbl val="0"/>
      </c:catAx>
      <c:valAx>
        <c:axId val="25792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23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30802939"/>
        <c:axId val="8790996"/>
      </c:bar3DChart>
      <c:catAx>
        <c:axId val="3080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90996"/>
        <c:crosses val="autoZero"/>
        <c:auto val="1"/>
        <c:lblOffset val="100"/>
        <c:tickLblSkip val="1"/>
        <c:noMultiLvlLbl val="0"/>
      </c:catAx>
      <c:valAx>
        <c:axId val="8790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029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193634.7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</f>
        <v>149902.70000000004</v>
      </c>
      <c r="E6" s="3">
        <f>D6/D149*100</f>
        <v>33.23060627805514</v>
      </c>
      <c r="F6" s="3">
        <f>D6/B6*100</f>
        <v>77.4152050226535</v>
      </c>
      <c r="G6" s="3">
        <f aca="true" t="shared" si="0" ref="G6:G43">D6/C6*100</f>
        <v>34.92709711422097</v>
      </c>
      <c r="H6" s="51">
        <f>B6-D6</f>
        <v>43731.99999999997</v>
      </c>
      <c r="I6" s="51">
        <f aca="true" t="shared" si="1" ref="I6:I43">C6-D6</f>
        <v>279284.69999999995</v>
      </c>
    </row>
    <row r="7" spans="1:9" s="41" customFormat="1" ht="18.75">
      <c r="A7" s="112" t="s">
        <v>98</v>
      </c>
      <c r="B7" s="105">
        <v>78635.8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</f>
        <v>62474.299999999996</v>
      </c>
      <c r="E7" s="103">
        <f>D7/D6*100</f>
        <v>41.67656753347336</v>
      </c>
      <c r="F7" s="103">
        <f>D7/B7*100</f>
        <v>79.44765615661059</v>
      </c>
      <c r="G7" s="103">
        <f>D7/C7*100</f>
        <v>33.24545826563991</v>
      </c>
      <c r="H7" s="113">
        <f>B7-D7</f>
        <v>16161.500000000007</v>
      </c>
      <c r="I7" s="113">
        <f t="shared" si="1"/>
        <v>125444</v>
      </c>
    </row>
    <row r="8" spans="1:9" ht="18">
      <c r="A8" s="26" t="s">
        <v>3</v>
      </c>
      <c r="B8" s="46">
        <f>129500.7-1930.3</f>
        <v>127570.4</v>
      </c>
      <c r="C8" s="47">
        <v>298081.6</v>
      </c>
      <c r="D8" s="48">
        <f>3665.2+5419.3+4645.9+6727.5+3.3+4022.1+5553.6+3348.6+2163.6+10156.4+7.2+0.6+10315.5+1+3228.6+8514.3+1326+3.5+12.8+5216.4+5594.6+5651.4+7023.1+2.4+8.5+10209.4</f>
        <v>102820.79999999999</v>
      </c>
      <c r="E8" s="1">
        <f>D8/D6*100</f>
        <v>68.59169314495334</v>
      </c>
      <c r="F8" s="1">
        <f>D8/B8*100</f>
        <v>80.59926127063957</v>
      </c>
      <c r="G8" s="1">
        <f t="shared" si="0"/>
        <v>34.494178775207864</v>
      </c>
      <c r="H8" s="48">
        <f>B8-D8</f>
        <v>24749.600000000006</v>
      </c>
      <c r="I8" s="48">
        <f t="shared" si="1"/>
        <v>195260.8</v>
      </c>
    </row>
    <row r="9" spans="1:9" ht="18">
      <c r="A9" s="26" t="s">
        <v>2</v>
      </c>
      <c r="B9" s="46">
        <v>46.5</v>
      </c>
      <c r="C9" s="47">
        <v>85.7</v>
      </c>
      <c r="D9" s="48">
        <f>4+2.9+1.6+0.5+0.5+1.9+1.2+1.8+1.6+0.7+2+3.7+0.1+1.9</f>
        <v>24.4</v>
      </c>
      <c r="E9" s="12">
        <f>D9/D6*100</f>
        <v>0.016277225160053817</v>
      </c>
      <c r="F9" s="128">
        <f>D9/B9*100</f>
        <v>52.47311827956989</v>
      </c>
      <c r="G9" s="1">
        <f t="shared" si="0"/>
        <v>28.47141190198366</v>
      </c>
      <c r="H9" s="48">
        <f aca="true" t="shared" si="2" ref="H9:H43">B9-D9</f>
        <v>22.1</v>
      </c>
      <c r="I9" s="48">
        <f t="shared" si="1"/>
        <v>61.300000000000004</v>
      </c>
    </row>
    <row r="10" spans="1:9" ht="18">
      <c r="A10" s="26" t="s">
        <v>1</v>
      </c>
      <c r="B10" s="46">
        <v>16812.9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</f>
        <v>10452.100000000002</v>
      </c>
      <c r="E10" s="1">
        <f>D10/D6*100</f>
        <v>6.9725895530901045</v>
      </c>
      <c r="F10" s="1">
        <f aca="true" t="shared" si="3" ref="F10:F41">D10/B10*100</f>
        <v>62.167145465684094</v>
      </c>
      <c r="G10" s="1">
        <f t="shared" si="0"/>
        <v>37.25853655058835</v>
      </c>
      <c r="H10" s="48">
        <f t="shared" si="2"/>
        <v>6360.799999999999</v>
      </c>
      <c r="I10" s="48">
        <f t="shared" si="1"/>
        <v>17600.8</v>
      </c>
    </row>
    <row r="11" spans="1:9" ht="18">
      <c r="A11" s="26" t="s">
        <v>0</v>
      </c>
      <c r="B11" s="46">
        <f>33734.7+1930.3</f>
        <v>35665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</f>
        <v>28096.699999999997</v>
      </c>
      <c r="E11" s="1">
        <f>D11/D6*100</f>
        <v>18.74329148174115</v>
      </c>
      <c r="F11" s="1">
        <f t="shared" si="3"/>
        <v>78.77947567643348</v>
      </c>
      <c r="G11" s="1">
        <f t="shared" si="0"/>
        <v>39.21119031802475</v>
      </c>
      <c r="H11" s="48">
        <f t="shared" si="2"/>
        <v>7568.300000000003</v>
      </c>
      <c r="I11" s="48">
        <f t="shared" si="1"/>
        <v>43558.100000000006</v>
      </c>
    </row>
    <row r="12" spans="1:9" ht="18">
      <c r="A12" s="26" t="s">
        <v>15</v>
      </c>
      <c r="B12" s="46">
        <v>6004.2</v>
      </c>
      <c r="C12" s="47">
        <v>14712</v>
      </c>
      <c r="D12" s="48">
        <f>5+12.7+3.8+1250.6+160.8+241+218.1+277.6+20.3+413.8+8.3+240.5+24.8+2.5+338+212.8+1.2+3.8+19.1+319.6+33.1+186+278+233.1+1.2+181.4+178.6</f>
        <v>4865.700000000001</v>
      </c>
      <c r="E12" s="1">
        <f>D12/D6*100</f>
        <v>3.2459055107079458</v>
      </c>
      <c r="F12" s="1">
        <f t="shared" si="3"/>
        <v>81.03827320875389</v>
      </c>
      <c r="G12" s="1">
        <f t="shared" si="0"/>
        <v>33.073001631321375</v>
      </c>
      <c r="H12" s="48">
        <f t="shared" si="2"/>
        <v>1138.499999999999</v>
      </c>
      <c r="I12" s="48">
        <f t="shared" si="1"/>
        <v>9846.3</v>
      </c>
    </row>
    <row r="13" spans="1:9" ht="18.75" thickBot="1">
      <c r="A13" s="26" t="s">
        <v>34</v>
      </c>
      <c r="B13" s="47">
        <f>B6-B8-B9-B10-B11-B12</f>
        <v>7535.700000000016</v>
      </c>
      <c r="C13" s="47">
        <f>C6-C8-C9-C10-C11-C12</f>
        <v>16600.400000000038</v>
      </c>
      <c r="D13" s="47">
        <f>D6-D8-D9-D10-D11-D12</f>
        <v>3643.0000000000546</v>
      </c>
      <c r="E13" s="1">
        <f>D13/D6*100</f>
        <v>2.4302430843474156</v>
      </c>
      <c r="F13" s="1">
        <f t="shared" si="3"/>
        <v>48.34321960799988</v>
      </c>
      <c r="G13" s="1">
        <f t="shared" si="0"/>
        <v>21.945254331221214</v>
      </c>
      <c r="H13" s="48">
        <f t="shared" si="2"/>
        <v>3892.6999999999616</v>
      </c>
      <c r="I13" s="48">
        <f t="shared" si="1"/>
        <v>12957.399999999983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105331.6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</f>
        <v>86520.09999999999</v>
      </c>
      <c r="E18" s="3">
        <f>D18/D149*100</f>
        <v>19.179877201931372</v>
      </c>
      <c r="F18" s="3">
        <f>D18/B18*100</f>
        <v>82.14068712523115</v>
      </c>
      <c r="G18" s="3">
        <f t="shared" si="0"/>
        <v>34.06418485035319</v>
      </c>
      <c r="H18" s="51">
        <f>B18-D18</f>
        <v>18811.500000000015</v>
      </c>
      <c r="I18" s="51">
        <f t="shared" si="1"/>
        <v>167471.3</v>
      </c>
    </row>
    <row r="19" spans="1:9" s="41" customFormat="1" ht="18.75">
      <c r="A19" s="112" t="s">
        <v>99</v>
      </c>
      <c r="B19" s="105">
        <v>80455.5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</f>
        <v>64850.59999999999</v>
      </c>
      <c r="E19" s="103">
        <f>D19/D18*100</f>
        <v>74.95437476378322</v>
      </c>
      <c r="F19" s="103">
        <f t="shared" si="3"/>
        <v>80.60430921441043</v>
      </c>
      <c r="G19" s="103">
        <f t="shared" si="0"/>
        <v>33.963862993610554</v>
      </c>
      <c r="H19" s="113">
        <f t="shared" si="2"/>
        <v>15604.900000000009</v>
      </c>
      <c r="I19" s="113">
        <f t="shared" si="1"/>
        <v>126089.40000000001</v>
      </c>
    </row>
    <row r="20" spans="1:9" ht="18">
      <c r="A20" s="26" t="s">
        <v>5</v>
      </c>
      <c r="B20" s="46">
        <v>75839.6</v>
      </c>
      <c r="C20" s="47">
        <v>186641.3</v>
      </c>
      <c r="D20" s="48">
        <f>5722.2+1+8655.9+32.9+2.4+5725.7+8251+357.7+0.1+5829.5+27.9+3957+4812.9+26.7+6036.7+16.8+6839+2416.2+22.3+6209</f>
        <v>64942.899999999994</v>
      </c>
      <c r="E20" s="1">
        <f>D20/D18*100</f>
        <v>75.06105517677395</v>
      </c>
      <c r="F20" s="1">
        <f t="shared" si="3"/>
        <v>85.63191261557284</v>
      </c>
      <c r="G20" s="1">
        <f t="shared" si="0"/>
        <v>34.7955677548324</v>
      </c>
      <c r="H20" s="48">
        <f t="shared" si="2"/>
        <v>10896.700000000012</v>
      </c>
      <c r="I20" s="48">
        <f t="shared" si="1"/>
        <v>121698.4</v>
      </c>
    </row>
    <row r="21" spans="1:9" ht="18">
      <c r="A21" s="26" t="s">
        <v>2</v>
      </c>
      <c r="B21" s="46">
        <v>10590.1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80.5+183.6+169.4+194.4+100+1.7+148.4+215.7+278.3+117.8+152.1+196.9+0.1+12.4+249.4+61.7+746.5+93.7+472.5+302.1+275.1+81.6+3.9+35+464.9+2.5+307.7+447+3.4+846+41.6+81.5+37.3+0.2+71.8+4.3+281.4+8.6+37.8</f>
        <v>6808.799999999999</v>
      </c>
      <c r="E21" s="1">
        <f>D21/D18*100</f>
        <v>7.869616424391558</v>
      </c>
      <c r="F21" s="1">
        <f t="shared" si="3"/>
        <v>64.29401044371629</v>
      </c>
      <c r="G21" s="1">
        <f t="shared" si="0"/>
        <v>32.493879479433616</v>
      </c>
      <c r="H21" s="48">
        <f t="shared" si="2"/>
        <v>3781.300000000001</v>
      </c>
      <c r="I21" s="48">
        <f t="shared" si="1"/>
        <v>14145.3</v>
      </c>
    </row>
    <row r="22" spans="1:9" ht="18">
      <c r="A22" s="26" t="s">
        <v>1</v>
      </c>
      <c r="B22" s="46">
        <v>1638.6</v>
      </c>
      <c r="C22" s="47">
        <v>3917.9</v>
      </c>
      <c r="D22" s="48">
        <f>127.7+23.6+33.5+86.7+19.5+2.9+68.3+78.1+10.6+165.4+2.5+15.8+6.5+60.2+104.3+141.7+2.3+23.7+90.2+22.1+28.3+93.7+27.2-0.1+0.2+54.7+9.9</f>
        <v>1299.5000000000002</v>
      </c>
      <c r="E22" s="1">
        <f>D22/D18*100</f>
        <v>1.5019631276431724</v>
      </c>
      <c r="F22" s="1">
        <f t="shared" si="3"/>
        <v>79.30550469913342</v>
      </c>
      <c r="G22" s="1">
        <f t="shared" si="0"/>
        <v>33.16827892493428</v>
      </c>
      <c r="H22" s="48">
        <f t="shared" si="2"/>
        <v>339.0999999999997</v>
      </c>
      <c r="I22" s="48">
        <f t="shared" si="1"/>
        <v>2618.3999999999996</v>
      </c>
    </row>
    <row r="23" spans="1:9" ht="18">
      <c r="A23" s="26" t="s">
        <v>0</v>
      </c>
      <c r="B23" s="46">
        <v>14155.2</v>
      </c>
      <c r="C23" s="47">
        <v>27804.4</v>
      </c>
      <c r="D23" s="48">
        <f>230.7+158.8+520.8+110.9+465.7+246.3+3.9+169.6+1975.3+126.5+2+97.4+199.5+165.4+184.4+1288.4+1114.2+20.1+11.6+1104.8+1285.8+113+130.6+146.2+28.7+1001+189.4+3.7+11.2</f>
        <v>11105.900000000001</v>
      </c>
      <c r="E23" s="1">
        <f>D23/D18*100</f>
        <v>12.83620800253352</v>
      </c>
      <c r="F23" s="1">
        <f t="shared" si="3"/>
        <v>78.45809313891715</v>
      </c>
      <c r="G23" s="1">
        <f t="shared" si="0"/>
        <v>39.942958668412196</v>
      </c>
      <c r="H23" s="48">
        <f t="shared" si="2"/>
        <v>3049.2999999999993</v>
      </c>
      <c r="I23" s="48">
        <f t="shared" si="1"/>
        <v>16698.5</v>
      </c>
    </row>
    <row r="24" spans="1:9" ht="18">
      <c r="A24" s="26" t="s">
        <v>15</v>
      </c>
      <c r="B24" s="46">
        <v>663.8</v>
      </c>
      <c r="C24" s="47">
        <v>1591.6</v>
      </c>
      <c r="D24" s="48">
        <f>73.6+22.6+5.3+2.4+2.5+128.1+0.1+11.5+121.2+11.2-0.1+27.3+71.1+31.4-0.1+0.8+24.6+83.5</f>
        <v>616.9999999999999</v>
      </c>
      <c r="E24" s="1">
        <f>D24/D18*100</f>
        <v>0.713129087922922</v>
      </c>
      <c r="F24" s="1">
        <f t="shared" si="3"/>
        <v>92.94968363965049</v>
      </c>
      <c r="G24" s="1">
        <f t="shared" si="0"/>
        <v>38.76602161347071</v>
      </c>
      <c r="H24" s="48">
        <f t="shared" si="2"/>
        <v>46.80000000000007</v>
      </c>
      <c r="I24" s="48">
        <f t="shared" si="1"/>
        <v>974.6</v>
      </c>
    </row>
    <row r="25" spans="1:9" ht="18.75" thickBot="1">
      <c r="A25" s="26" t="s">
        <v>34</v>
      </c>
      <c r="B25" s="47">
        <f>B18-B20-B21-B22-B23-B24</f>
        <v>2444.300000000002</v>
      </c>
      <c r="C25" s="47">
        <f>C18-C20-C21-C22-C23-C24</f>
        <v>13082.100000000004</v>
      </c>
      <c r="D25" s="47">
        <f>D18-D20-D21-D22-D23-D24</f>
        <v>1745.9999999999964</v>
      </c>
      <c r="E25" s="1">
        <f>D25/D18*100</f>
        <v>2.0180281807348774</v>
      </c>
      <c r="F25" s="1">
        <f t="shared" si="3"/>
        <v>71.43149367917174</v>
      </c>
      <c r="G25" s="1">
        <f t="shared" si="0"/>
        <v>13.34648106955302</v>
      </c>
      <c r="H25" s="48">
        <f t="shared" si="2"/>
        <v>698.3000000000056</v>
      </c>
      <c r="I25" s="48">
        <f t="shared" si="1"/>
        <v>11336.100000000008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21154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</f>
        <v>17565.500000000004</v>
      </c>
      <c r="E33" s="3">
        <f>D33/D149*100</f>
        <v>3.8939406333386763</v>
      </c>
      <c r="F33" s="3">
        <f>D33/B33*100</f>
        <v>83.03630519050772</v>
      </c>
      <c r="G33" s="3">
        <f t="shared" si="0"/>
        <v>34.93167983486229</v>
      </c>
      <c r="H33" s="51">
        <f t="shared" si="2"/>
        <v>3588.4999999999964</v>
      </c>
      <c r="I33" s="51">
        <f t="shared" si="1"/>
        <v>32719.799999999992</v>
      </c>
    </row>
    <row r="34" spans="1:9" ht="18">
      <c r="A34" s="26" t="s">
        <v>3</v>
      </c>
      <c r="B34" s="46">
        <f>13875.9+46.2</f>
        <v>13922.1</v>
      </c>
      <c r="C34" s="47">
        <v>35016.6</v>
      </c>
      <c r="D34" s="48">
        <f>1335+1268.2+1354.9+1304.2+1357+1359.6+1365.6+1342.2+1381.4+3.9</f>
        <v>12072</v>
      </c>
      <c r="E34" s="1">
        <f>D34/D33*100</f>
        <v>68.72562693917051</v>
      </c>
      <c r="F34" s="1">
        <f t="shared" si="3"/>
        <v>86.71105652164543</v>
      </c>
      <c r="G34" s="1">
        <f t="shared" si="0"/>
        <v>34.47507753465499</v>
      </c>
      <c r="H34" s="48">
        <f t="shared" si="2"/>
        <v>1850.1000000000004</v>
      </c>
      <c r="I34" s="48">
        <f t="shared" si="1"/>
        <v>22944.6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f>1888.4-80.4</f>
        <v>1808</v>
      </c>
      <c r="C36" s="47">
        <v>3384.4</v>
      </c>
      <c r="D36" s="48">
        <f>10.5+61.2+112+1.1+10.5+29.3+0.6+6.8+9.7+3.4+19.2+41.9-0.2+31.7+187.3+26+0.6+2.4+24.9+11.7+8.1+0.1+179+19+1+1.3+0.4+1.8+4.5+241.4+76.8+24.3+5.1+0.7+0.9+17.4</f>
        <v>1172.4</v>
      </c>
      <c r="E36" s="1">
        <f>D36/D33*100</f>
        <v>6.674447069539721</v>
      </c>
      <c r="F36" s="1">
        <f t="shared" si="3"/>
        <v>64.84513274336283</v>
      </c>
      <c r="G36" s="1">
        <f t="shared" si="0"/>
        <v>34.64129535515897</v>
      </c>
      <c r="H36" s="48">
        <f t="shared" si="2"/>
        <v>635.5999999999999</v>
      </c>
      <c r="I36" s="48">
        <f t="shared" si="1"/>
        <v>2212</v>
      </c>
    </row>
    <row r="37" spans="1:9" s="41" customFormat="1" ht="18.75">
      <c r="A37" s="20" t="s">
        <v>7</v>
      </c>
      <c r="B37" s="55">
        <v>317.1</v>
      </c>
      <c r="C37" s="56">
        <v>929.3</v>
      </c>
      <c r="D37" s="57">
        <f>11.2+19.5+15.2+5+5.7-0.1+1.9+5.1+7+0.3+7.7+25.8+82+15.4+14.3</f>
        <v>216.00000000000003</v>
      </c>
      <c r="E37" s="17">
        <f>D37/D33*100</f>
        <v>1.2296831857903276</v>
      </c>
      <c r="F37" s="17">
        <f t="shared" si="3"/>
        <v>68.11731315042574</v>
      </c>
      <c r="G37" s="17">
        <f t="shared" si="0"/>
        <v>23.243301409663193</v>
      </c>
      <c r="H37" s="57">
        <f t="shared" si="2"/>
        <v>101.1</v>
      </c>
      <c r="I37" s="57">
        <f t="shared" si="1"/>
        <v>713.3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</f>
        <v>20.4</v>
      </c>
      <c r="E38" s="1">
        <f>D38/D33*100</f>
        <v>0.11613674532464202</v>
      </c>
      <c r="F38" s="1">
        <f t="shared" si="3"/>
        <v>80</v>
      </c>
      <c r="G38" s="1">
        <f t="shared" si="0"/>
        <v>33.55263157894737</v>
      </c>
      <c r="H38" s="48">
        <f t="shared" si="2"/>
        <v>5.100000000000001</v>
      </c>
      <c r="I38" s="48">
        <f t="shared" si="1"/>
        <v>40.4</v>
      </c>
    </row>
    <row r="39" spans="1:9" ht="18.75" thickBot="1">
      <c r="A39" s="26" t="s">
        <v>34</v>
      </c>
      <c r="B39" s="46">
        <f>B33-B34-B36-B37-B35-B38</f>
        <v>5081.299999999999</v>
      </c>
      <c r="C39" s="46">
        <f>C33-C34-C36-C37-C35-C38</f>
        <v>10894.199999999999</v>
      </c>
      <c r="D39" s="46">
        <f>D33-D34-D36-D37-D35-D38</f>
        <v>4084.700000000004</v>
      </c>
      <c r="E39" s="1">
        <f>D39/D33*100</f>
        <v>23.25410606017479</v>
      </c>
      <c r="F39" s="1">
        <f t="shared" si="3"/>
        <v>80.38690886190551</v>
      </c>
      <c r="G39" s="1">
        <f t="shared" si="0"/>
        <v>37.49426300233156</v>
      </c>
      <c r="H39" s="48">
        <f>B39-D39</f>
        <v>996.5999999999954</v>
      </c>
      <c r="I39" s="48">
        <f t="shared" si="1"/>
        <v>6809.4999999999945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418.1</v>
      </c>
      <c r="C43" s="50">
        <f>829.5+61+9</f>
        <v>899.5</v>
      </c>
      <c r="D43" s="51">
        <f>22.2+3+5+12.1+5.3+62.1+8.7+22.7+11.7+44.1-0.1+8.7+8.3+9+2+12.1+30.9+11+14.3+28.5+0.1</f>
        <v>321.7</v>
      </c>
      <c r="E43" s="3">
        <f>D43/D149*100</f>
        <v>0.07131483315277401</v>
      </c>
      <c r="F43" s="3">
        <f>D43/B43*100</f>
        <v>76.94331499641234</v>
      </c>
      <c r="G43" s="3">
        <f t="shared" si="0"/>
        <v>35.76431350750417</v>
      </c>
      <c r="H43" s="51">
        <f t="shared" si="2"/>
        <v>96.40000000000003</v>
      </c>
      <c r="I43" s="51">
        <f t="shared" si="1"/>
        <v>577.8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3195.5</v>
      </c>
      <c r="C45" s="50">
        <v>7741.6</v>
      </c>
      <c r="D45" s="51">
        <f>224.1+260.8+14.4+236.4+3.2+114.6+291.3+0.1+96+241.4+13.4+0.1+331+0.7-0.1+39.8+268.9+0.5+9.3+307.6+278.3+1.8</f>
        <v>2733.6000000000004</v>
      </c>
      <c r="E45" s="3">
        <f>D45/D149*100</f>
        <v>0.6059876528020611</v>
      </c>
      <c r="F45" s="3">
        <f>D45/B45*100</f>
        <v>85.54529807541856</v>
      </c>
      <c r="G45" s="3">
        <f aca="true" t="shared" si="4" ref="G45:G75">D45/C45*100</f>
        <v>35.310530122972</v>
      </c>
      <c r="H45" s="51">
        <f>B45-D45</f>
        <v>461.89999999999964</v>
      </c>
      <c r="I45" s="51">
        <f aca="true" t="shared" si="5" ref="I45:I76">C45-D45</f>
        <v>5008</v>
      </c>
    </row>
    <row r="46" spans="1:9" ht="18">
      <c r="A46" s="26" t="s">
        <v>3</v>
      </c>
      <c r="B46" s="46">
        <v>2713.5</v>
      </c>
      <c r="C46" s="47">
        <v>6753.6</v>
      </c>
      <c r="D46" s="48">
        <f>224.1+258.6+235.3+288.8+241.4+328.6+224.6+306.6+239.4</f>
        <v>2347.4</v>
      </c>
      <c r="E46" s="1">
        <f>D46/D45*100</f>
        <v>85.87211003804505</v>
      </c>
      <c r="F46" s="1">
        <f aca="true" t="shared" si="6" ref="F46:F73">D46/B46*100</f>
        <v>86.50819974203058</v>
      </c>
      <c r="G46" s="1">
        <f t="shared" si="4"/>
        <v>34.757758824923</v>
      </c>
      <c r="H46" s="48">
        <f aca="true" t="shared" si="7" ref="H46:H73">B46-D46</f>
        <v>366.0999999999999</v>
      </c>
      <c r="I46" s="48">
        <f t="shared" si="5"/>
        <v>4406.200000000001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0.029265437518290895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f>28-3</f>
        <v>25</v>
      </c>
      <c r="C48" s="47">
        <v>70.7</v>
      </c>
      <c r="D48" s="48">
        <f>0.2+2.1+0.1+6.5+6.7-0.1+7</f>
        <v>22.5</v>
      </c>
      <c r="E48" s="1">
        <f>D48/D45*100</f>
        <v>0.8230904302019315</v>
      </c>
      <c r="F48" s="1">
        <f t="shared" si="6"/>
        <v>90</v>
      </c>
      <c r="G48" s="1">
        <f t="shared" si="4"/>
        <v>31.824611032531823</v>
      </c>
      <c r="H48" s="48">
        <f t="shared" si="7"/>
        <v>2.5</v>
      </c>
      <c r="I48" s="48">
        <f t="shared" si="5"/>
        <v>48.2</v>
      </c>
    </row>
    <row r="49" spans="1:9" ht="18">
      <c r="A49" s="26" t="s">
        <v>0</v>
      </c>
      <c r="B49" s="46">
        <f>316.4+3</f>
        <v>319.4</v>
      </c>
      <c r="C49" s="47">
        <v>568.5</v>
      </c>
      <c r="D49" s="48">
        <f>2.2+2.5+0.8+112.4+2.2+0.1+69.1+4.4-0.1+35.2+27.4+4.8+1+22.3</f>
        <v>284.3</v>
      </c>
      <c r="E49" s="1">
        <f>D49/D45*100</f>
        <v>10.400204858062628</v>
      </c>
      <c r="F49" s="1">
        <f t="shared" si="6"/>
        <v>89.01064495929869</v>
      </c>
      <c r="G49" s="1">
        <f t="shared" si="4"/>
        <v>50.00879507475814</v>
      </c>
      <c r="H49" s="48">
        <f t="shared" si="7"/>
        <v>35.099999999999966</v>
      </c>
      <c r="I49" s="48">
        <f t="shared" si="5"/>
        <v>284.2</v>
      </c>
    </row>
    <row r="50" spans="1:9" ht="18.75" thickBot="1">
      <c r="A50" s="26" t="s">
        <v>34</v>
      </c>
      <c r="B50" s="47">
        <f>B45-B46-B49-B48-B47</f>
        <v>136.8</v>
      </c>
      <c r="C50" s="47">
        <f>C45-C46-C49-C48-C47</f>
        <v>347.5</v>
      </c>
      <c r="D50" s="47">
        <f>D45-D46-D49-D48-D47</f>
        <v>78.60000000000026</v>
      </c>
      <c r="E50" s="1">
        <f>D50/D45*100</f>
        <v>2.87532923617209</v>
      </c>
      <c r="F50" s="1">
        <f t="shared" si="6"/>
        <v>57.456140350877384</v>
      </c>
      <c r="G50" s="1">
        <f t="shared" si="4"/>
        <v>22.6187050359713</v>
      </c>
      <c r="H50" s="48">
        <f t="shared" si="7"/>
        <v>58.19999999999975</v>
      </c>
      <c r="I50" s="48">
        <f t="shared" si="5"/>
        <v>268.89999999999975</v>
      </c>
    </row>
    <row r="51" spans="1:9" ht="18.75" thickBot="1">
      <c r="A51" s="25" t="s">
        <v>4</v>
      </c>
      <c r="B51" s="49">
        <v>6960.1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8+294.9+37.1+10.7+29.1+464+10.3+76.6+3.8+16.5+359.8+101.4+28.4+17.4+423.7+90.6+34.9+37+0.1+9.1+9.3+297.9+22+64.6+70.7+6+66.1+10+1+492.9+75.6+12.9+0.1+89.4+151.6+362.5+3.6+52.3+5.5+47.6+477.8+131.7+10.9+138.5+313.4+75.2+80.2+4.9</f>
        <v>5127.5999999999985</v>
      </c>
      <c r="E51" s="3">
        <f>D51/D149*100</f>
        <v>1.13669237946585</v>
      </c>
      <c r="F51" s="3">
        <f>D51/B51*100</f>
        <v>73.67135529661928</v>
      </c>
      <c r="G51" s="3">
        <f t="shared" si="4"/>
        <v>31.823739332816125</v>
      </c>
      <c r="H51" s="51">
        <f>B51-D51</f>
        <v>1832.5000000000018</v>
      </c>
      <c r="I51" s="51">
        <f t="shared" si="5"/>
        <v>10984.900000000001</v>
      </c>
    </row>
    <row r="52" spans="1:9" ht="18">
      <c r="A52" s="26" t="s">
        <v>3</v>
      </c>
      <c r="B52" s="46">
        <v>4180.4</v>
      </c>
      <c r="C52" s="47">
        <v>10328.7</v>
      </c>
      <c r="D52" s="48">
        <f>8+294.9+437.7+298.5+423.7+297.9+451.2+294.5+446+301</f>
        <v>3253.3999999999996</v>
      </c>
      <c r="E52" s="1">
        <f>D52/D51*100</f>
        <v>63.44878695686093</v>
      </c>
      <c r="F52" s="1">
        <f t="shared" si="6"/>
        <v>77.82508850827672</v>
      </c>
      <c r="G52" s="1">
        <f t="shared" si="4"/>
        <v>31.498639712645343</v>
      </c>
      <c r="H52" s="48">
        <f t="shared" si="7"/>
        <v>927</v>
      </c>
      <c r="I52" s="48">
        <f t="shared" si="5"/>
        <v>7075.300000000001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121.8</v>
      </c>
      <c r="C54" s="47">
        <v>287</v>
      </c>
      <c r="D54" s="48">
        <f>1.3+0.7+2.1+1+1.3+7.6+7.5+6.3+0.4+13+20.7+0.5+5.3+9.4</f>
        <v>77.10000000000001</v>
      </c>
      <c r="E54" s="1">
        <f>D54/D51*100</f>
        <v>1.503627428036509</v>
      </c>
      <c r="F54" s="1">
        <f t="shared" si="6"/>
        <v>63.300492610837445</v>
      </c>
      <c r="G54" s="1">
        <f t="shared" si="4"/>
        <v>26.86411149825784</v>
      </c>
      <c r="H54" s="48">
        <f t="shared" si="7"/>
        <v>44.69999999999999</v>
      </c>
      <c r="I54" s="48">
        <f t="shared" si="5"/>
        <v>209.89999999999998</v>
      </c>
    </row>
    <row r="55" spans="1:9" ht="18">
      <c r="A55" s="26" t="s">
        <v>0</v>
      </c>
      <c r="B55" s="46">
        <v>540.7</v>
      </c>
      <c r="C55" s="47">
        <v>933.1</v>
      </c>
      <c r="D55" s="48">
        <f>10.7+0.6+7.6+85.1+28.4+14.4+0.1+8.5+0.1+7+0.1+7.7+62.8+6+1.3+0.9+0.9+1+0.7+0.1+4.7+15.2+34.9+9+4+15.8+5.5</f>
        <v>333.09999999999997</v>
      </c>
      <c r="E55" s="1">
        <f>D55/D51*100</f>
        <v>6.49621655355332</v>
      </c>
      <c r="F55" s="1">
        <f t="shared" si="6"/>
        <v>61.60532642870352</v>
      </c>
      <c r="G55" s="1">
        <f t="shared" si="4"/>
        <v>35.69821026685242</v>
      </c>
      <c r="H55" s="48">
        <f t="shared" si="7"/>
        <v>207.60000000000008</v>
      </c>
      <c r="I55" s="48">
        <f t="shared" si="5"/>
        <v>600</v>
      </c>
    </row>
    <row r="56" spans="1:9" ht="18.75" thickBot="1">
      <c r="A56" s="26" t="s">
        <v>34</v>
      </c>
      <c r="B56" s="47">
        <f>B51-B52-B55-B54-B53</f>
        <v>2117.2000000000007</v>
      </c>
      <c r="C56" s="47">
        <f>C51-C52-C55-C54-C53</f>
        <v>4551.699999999999</v>
      </c>
      <c r="D56" s="47">
        <f>D51-D52-D55-D54-D53</f>
        <v>1463.999999999999</v>
      </c>
      <c r="E56" s="1">
        <f>D56/D51*100</f>
        <v>28.551369061549252</v>
      </c>
      <c r="F56" s="1">
        <f t="shared" si="6"/>
        <v>69.14793122992626</v>
      </c>
      <c r="G56" s="1">
        <f t="shared" si="4"/>
        <v>32.16380692927916</v>
      </c>
      <c r="H56" s="48">
        <f t="shared" si="7"/>
        <v>653.2000000000016</v>
      </c>
      <c r="I56" s="48">
        <f>C56-D56</f>
        <v>3087.7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1262.8</v>
      </c>
      <c r="C58" s="50">
        <f>5881.8+134.4</f>
        <v>6016.2</v>
      </c>
      <c r="D58" s="51">
        <f>43.5+4.7+72.8+47.2+46+5+62.5+3.8+40.9+35.3+2.1+2.9+21.1+3.9+86.8+0.2+2.7+44.1+47.3+140.1+0.1+45.6+13.8</f>
        <v>772.4</v>
      </c>
      <c r="E58" s="3">
        <f>D58/D149*100</f>
        <v>0.17122653754181738</v>
      </c>
      <c r="F58" s="3">
        <f>D58/B58*100</f>
        <v>61.16566360468799</v>
      </c>
      <c r="G58" s="3">
        <f t="shared" si="4"/>
        <v>12.838668927229813</v>
      </c>
      <c r="H58" s="51">
        <f>B58-D58</f>
        <v>490.4</v>
      </c>
      <c r="I58" s="51">
        <f t="shared" si="5"/>
        <v>5243.8</v>
      </c>
    </row>
    <row r="59" spans="1:9" ht="18">
      <c r="A59" s="26" t="s">
        <v>3</v>
      </c>
      <c r="B59" s="46">
        <v>672.9</v>
      </c>
      <c r="C59" s="47">
        <f>1508.2+134.4</f>
        <v>1642.6000000000001</v>
      </c>
      <c r="D59" s="48">
        <f>43.5+72.8+47.2+62.5+0.1+35.3+86.8+44.1+125.7+41.4</f>
        <v>559.4</v>
      </c>
      <c r="E59" s="1">
        <f>D59/D58*100</f>
        <v>72.42361470740549</v>
      </c>
      <c r="F59" s="1">
        <f t="shared" si="6"/>
        <v>83.13270916926734</v>
      </c>
      <c r="G59" s="1">
        <f t="shared" si="4"/>
        <v>34.05576525021307</v>
      </c>
      <c r="H59" s="48">
        <f t="shared" si="7"/>
        <v>113.5</v>
      </c>
      <c r="I59" s="48">
        <f t="shared" si="5"/>
        <v>1083.2000000000003</v>
      </c>
    </row>
    <row r="60" spans="1:9" ht="18">
      <c r="A60" s="26" t="s">
        <v>1</v>
      </c>
      <c r="B60" s="46">
        <v>165.9</v>
      </c>
      <c r="C60" s="47">
        <v>331.8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165.9</v>
      </c>
      <c r="I60" s="48">
        <f t="shared" si="5"/>
        <v>331.8</v>
      </c>
    </row>
    <row r="61" spans="1:9" ht="18">
      <c r="A61" s="26" t="s">
        <v>0</v>
      </c>
      <c r="B61" s="46">
        <v>361.1</v>
      </c>
      <c r="C61" s="47">
        <v>627.5</v>
      </c>
      <c r="D61" s="48">
        <f>4.7+45.7+4.9+40.9+19.8+3.9+46.3+9+12.6</f>
        <v>187.79999999999998</v>
      </c>
      <c r="E61" s="1">
        <f>D61/D58*100</f>
        <v>24.313827032625582</v>
      </c>
      <c r="F61" s="1">
        <f t="shared" si="6"/>
        <v>52.007754084741066</v>
      </c>
      <c r="G61" s="1">
        <f t="shared" si="4"/>
        <v>29.928286852589636</v>
      </c>
      <c r="H61" s="48">
        <f t="shared" si="7"/>
        <v>173.30000000000004</v>
      </c>
      <c r="I61" s="48">
        <f t="shared" si="5"/>
        <v>439.70000000000005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62.89999999999995</v>
      </c>
      <c r="C63" s="47">
        <f>C58-C59-C61-C62-C60</f>
        <v>198.09999999999962</v>
      </c>
      <c r="D63" s="47">
        <f>D58-D59-D61-D62-D60</f>
        <v>25.200000000000017</v>
      </c>
      <c r="E63" s="1">
        <f>D63/D58*100</f>
        <v>3.2625582599689307</v>
      </c>
      <c r="F63" s="1">
        <f t="shared" si="6"/>
        <v>40.06359300476954</v>
      </c>
      <c r="G63" s="1">
        <f t="shared" si="4"/>
        <v>12.720848056537134</v>
      </c>
      <c r="H63" s="48">
        <f t="shared" si="7"/>
        <v>37.69999999999993</v>
      </c>
      <c r="I63" s="48">
        <f t="shared" si="5"/>
        <v>172.8999999999996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267.4</v>
      </c>
      <c r="C68" s="50">
        <f>C69+C70</f>
        <v>563.4</v>
      </c>
      <c r="D68" s="51">
        <f>SUM(D69:D70)</f>
        <v>144.9</v>
      </c>
      <c r="E68" s="39">
        <f>D68/D149*100</f>
        <v>0.03212160187701882</v>
      </c>
      <c r="F68" s="3">
        <f>D68/B68*100</f>
        <v>54.18848167539267</v>
      </c>
      <c r="G68" s="3">
        <f t="shared" si="4"/>
        <v>25.718849840255594</v>
      </c>
      <c r="H68" s="51">
        <f>B68-D68</f>
        <v>122.49999999999997</v>
      </c>
      <c r="I68" s="51">
        <f t="shared" si="5"/>
        <v>418.5</v>
      </c>
    </row>
    <row r="69" spans="1:9" ht="18">
      <c r="A69" s="26" t="s">
        <v>8</v>
      </c>
      <c r="B69" s="46">
        <v>139.5</v>
      </c>
      <c r="C69" s="47">
        <v>171</v>
      </c>
      <c r="D69" s="48">
        <f>3.9+1+3+8.8+1.5+9.8+5+38.4+18.8+12.7+1+25.4+6</f>
        <v>135.3</v>
      </c>
      <c r="E69" s="1">
        <f>D69/D68*100</f>
        <v>93.37474120082815</v>
      </c>
      <c r="F69" s="1">
        <f t="shared" si="6"/>
        <v>96.98924731182797</v>
      </c>
      <c r="G69" s="1">
        <f t="shared" si="4"/>
        <v>79.12280701754386</v>
      </c>
      <c r="H69" s="48">
        <f t="shared" si="7"/>
        <v>4.199999999999989</v>
      </c>
      <c r="I69" s="48">
        <f t="shared" si="5"/>
        <v>35.69999999999999</v>
      </c>
    </row>
    <row r="70" spans="1:9" ht="18.75" thickBot="1">
      <c r="A70" s="26" t="s">
        <v>9</v>
      </c>
      <c r="B70" s="46">
        <v>127.9</v>
      </c>
      <c r="C70" s="47">
        <f>253.4-6+145</f>
        <v>392.4</v>
      </c>
      <c r="D70" s="48">
        <f>9.6</f>
        <v>9.6</v>
      </c>
      <c r="E70" s="1">
        <f>D70/D69*100</f>
        <v>7.095343680709533</v>
      </c>
      <c r="F70" s="1">
        <f t="shared" si="6"/>
        <v>7.5058639562157925</v>
      </c>
      <c r="G70" s="1">
        <f t="shared" si="4"/>
        <v>2.4464831804281344</v>
      </c>
      <c r="H70" s="48">
        <f t="shared" si="7"/>
        <v>118.30000000000001</v>
      </c>
      <c r="I70" s="48">
        <f t="shared" si="5"/>
        <v>382.79999999999995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26038.3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</f>
        <v>19675.800000000003</v>
      </c>
      <c r="E89" s="3">
        <f>D89/D149*100</f>
        <v>4.36175441139991</v>
      </c>
      <c r="F89" s="3">
        <f aca="true" t="shared" si="10" ref="F89:F95">D89/B89*100</f>
        <v>75.56484102264743</v>
      </c>
      <c r="G89" s="3">
        <f t="shared" si="8"/>
        <v>35.09618729096991</v>
      </c>
      <c r="H89" s="51">
        <f aca="true" t="shared" si="11" ref="H89:H95">B89-D89</f>
        <v>6362.499999999996</v>
      </c>
      <c r="I89" s="51">
        <f t="shared" si="9"/>
        <v>36386.7</v>
      </c>
    </row>
    <row r="90" spans="1:9" ht="18">
      <c r="A90" s="26" t="s">
        <v>3</v>
      </c>
      <c r="B90" s="46">
        <v>22112.8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</f>
        <v>17447.500000000004</v>
      </c>
      <c r="E90" s="1">
        <f>D90/D89*100</f>
        <v>88.67492046066742</v>
      </c>
      <c r="F90" s="1">
        <f t="shared" si="10"/>
        <v>78.90226475163708</v>
      </c>
      <c r="G90" s="1">
        <f t="shared" si="8"/>
        <v>36.646020134044946</v>
      </c>
      <c r="H90" s="48">
        <f t="shared" si="11"/>
        <v>4665.299999999996</v>
      </c>
      <c r="I90" s="48">
        <f t="shared" si="9"/>
        <v>30163.399999999998</v>
      </c>
    </row>
    <row r="91" spans="1:9" ht="18">
      <c r="A91" s="26" t="s">
        <v>32</v>
      </c>
      <c r="B91" s="46">
        <v>1304.6</v>
      </c>
      <c r="C91" s="47">
        <v>2476</v>
      </c>
      <c r="D91" s="48">
        <f>9.8+96.8+35.3+50.2+1.4+30+1.1+18.1+138.1+43.8+4.2+9.3+27.5+5.8+0.2+2.4+1+11.7+14.7+34.3+26.9+2.8+30.4+0.1+1.4+0.2+22+131.7</f>
        <v>751.1999999999998</v>
      </c>
      <c r="E91" s="1">
        <f>D91/D89*100</f>
        <v>3.8178879638947323</v>
      </c>
      <c r="F91" s="1">
        <f t="shared" si="10"/>
        <v>57.58086769891153</v>
      </c>
      <c r="G91" s="1">
        <f t="shared" si="8"/>
        <v>30.339256865912756</v>
      </c>
      <c r="H91" s="48">
        <f t="shared" si="11"/>
        <v>553.4000000000001</v>
      </c>
      <c r="I91" s="48">
        <f t="shared" si="9"/>
        <v>1724.8000000000002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2620.9</v>
      </c>
      <c r="C93" s="47">
        <f>C89-C90-C91-C92</f>
        <v>5975.5999999999985</v>
      </c>
      <c r="D93" s="47">
        <f>D89-D90-D91-D92</f>
        <v>1477.0999999999995</v>
      </c>
      <c r="E93" s="1">
        <f>D93/D89*100</f>
        <v>7.507191575437844</v>
      </c>
      <c r="F93" s="1">
        <f t="shared" si="10"/>
        <v>56.35850280438015</v>
      </c>
      <c r="G93" s="1">
        <f>D93/C93*100</f>
        <v>24.718856683847644</v>
      </c>
      <c r="H93" s="48">
        <f t="shared" si="11"/>
        <v>1143.8000000000006</v>
      </c>
      <c r="I93" s="48">
        <f>C93-D93</f>
        <v>4498.499999999999</v>
      </c>
    </row>
    <row r="94" spans="1:9" ht="18.75">
      <c r="A94" s="116" t="s">
        <v>12</v>
      </c>
      <c r="B94" s="119">
        <v>45714.6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</f>
        <v>33055.6</v>
      </c>
      <c r="E94" s="115">
        <f>D94/D149*100</f>
        <v>7.327804161531976</v>
      </c>
      <c r="F94" s="118">
        <f t="shared" si="10"/>
        <v>72.30862787818334</v>
      </c>
      <c r="G94" s="114">
        <f>D94/C94*100</f>
        <v>41.56567269654529</v>
      </c>
      <c r="H94" s="120">
        <f t="shared" si="11"/>
        <v>12659</v>
      </c>
      <c r="I94" s="130">
        <f>C94-D94</f>
        <v>46470.6</v>
      </c>
    </row>
    <row r="95" spans="1:9" ht="18.75" thickBot="1">
      <c r="A95" s="117" t="s">
        <v>100</v>
      </c>
      <c r="B95" s="122">
        <v>2216.7</v>
      </c>
      <c r="C95" s="123">
        <v>5343.5</v>
      </c>
      <c r="D95" s="124">
        <f>57.3+368.5+61.1+0.1+320+59+0.8+309+245.5+61.2+0.4-0.1+489+12.5</f>
        <v>1984.3000000000002</v>
      </c>
      <c r="E95" s="125">
        <f>D95/D94*100</f>
        <v>6.002916298599936</v>
      </c>
      <c r="F95" s="126">
        <f t="shared" si="10"/>
        <v>89.51594712861463</v>
      </c>
      <c r="G95" s="127">
        <f>D95/C95*100</f>
        <v>37.134836717507255</v>
      </c>
      <c r="H95" s="131">
        <f t="shared" si="11"/>
        <v>232.39999999999964</v>
      </c>
      <c r="I95" s="132">
        <f>C95-D95</f>
        <v>3359.2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4484.1</v>
      </c>
      <c r="C101" s="100">
        <f>10703.3-154</f>
        <v>10549.3</v>
      </c>
      <c r="D101" s="87">
        <f>40+388.7+47.5+2+10.9+26+40+10.7+4.9+126.7+451+1.9+19.2+1.6+31.5+41+134.3+2+40+303.9+42.9+136.5+32.6+15.2+0.1+18+62.7+4.9+159.7+3.3+4.9+45.5+355.5+2+11.4+51.9+80.1+8.7+15.5+6+0.2+15+38.8+236.4+53.6</f>
        <v>3125.2000000000003</v>
      </c>
      <c r="E101" s="22">
        <f>D101/D149*100</f>
        <v>0.6927979999037903</v>
      </c>
      <c r="F101" s="22">
        <f>D101/B101*100</f>
        <v>69.69514506812962</v>
      </c>
      <c r="G101" s="22">
        <f aca="true" t="shared" si="12" ref="G101:G147">D101/C101*100</f>
        <v>29.62471443602894</v>
      </c>
      <c r="H101" s="87">
        <f aca="true" t="shared" si="13" ref="H101:H106">B101-D101</f>
        <v>1358.9</v>
      </c>
      <c r="I101" s="87">
        <f aca="true" t="shared" si="14" ref="I101:I147">C101-D101</f>
        <v>7424.0999999999985</v>
      </c>
    </row>
    <row r="102" spans="1:9" ht="18">
      <c r="A102" s="26" t="s">
        <v>3</v>
      </c>
      <c r="B102" s="97">
        <v>60.8</v>
      </c>
      <c r="C102" s="95">
        <v>187.6</v>
      </c>
      <c r="D102" s="95">
        <f>15</f>
        <v>15</v>
      </c>
      <c r="E102" s="91">
        <f>D102/D101*100</f>
        <v>0.4799692819659541</v>
      </c>
      <c r="F102" s="1">
        <f>D102/B102*100</f>
        <v>24.67105263157895</v>
      </c>
      <c r="G102" s="91">
        <f>D102/C102*100</f>
        <v>7.995735607675907</v>
      </c>
      <c r="H102" s="95">
        <f t="shared" si="13"/>
        <v>45.8</v>
      </c>
      <c r="I102" s="95">
        <f t="shared" si="14"/>
        <v>172.6</v>
      </c>
    </row>
    <row r="103" spans="1:9" ht="18">
      <c r="A103" s="93" t="s">
        <v>60</v>
      </c>
      <c r="B103" s="78">
        <v>3692.2</v>
      </c>
      <c r="C103" s="48">
        <f>8863.3-154</f>
        <v>8709.3</v>
      </c>
      <c r="D103" s="48">
        <f>39.8+388.5+20.6+2+26+40+4.1+126.5+407.9+18+31.2+40.6+134.1+2+40+303.9+135.8+32.6+7.9+0.1+62.1+159.2+45.1+355.5+2+51.4+35.4+235.2+53.1</f>
        <v>2800.5999999999995</v>
      </c>
      <c r="E103" s="1">
        <f>D103/D101*100</f>
        <v>89.61346473825674</v>
      </c>
      <c r="F103" s="1">
        <f aca="true" t="shared" si="15" ref="F103:F147">D103/B103*100</f>
        <v>75.85179567737391</v>
      </c>
      <c r="G103" s="1">
        <f t="shared" si="12"/>
        <v>32.15643048235793</v>
      </c>
      <c r="H103" s="48">
        <f t="shared" si="13"/>
        <v>891.6000000000004</v>
      </c>
      <c r="I103" s="48">
        <f t="shared" si="14"/>
        <v>5908.7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731.1000000000004</v>
      </c>
      <c r="C105" s="96">
        <f>C101-C102-C103</f>
        <v>1652.3999999999996</v>
      </c>
      <c r="D105" s="96">
        <f>D101-D102-D103</f>
        <v>309.6000000000008</v>
      </c>
      <c r="E105" s="92">
        <f>D105/D101*100</f>
        <v>9.90656597977732</v>
      </c>
      <c r="F105" s="92">
        <f t="shared" si="15"/>
        <v>42.34714813295044</v>
      </c>
      <c r="G105" s="92">
        <f t="shared" si="12"/>
        <v>18.73638344226585</v>
      </c>
      <c r="H105" s="132">
        <f>B105-D105</f>
        <v>421.49999999999955</v>
      </c>
      <c r="I105" s="132">
        <f t="shared" si="14"/>
        <v>1342.7999999999988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181650.69999999998</v>
      </c>
      <c r="C106" s="89">
        <f>SUM(C107:C146)-C114-C118+C147-C138-C139-C108-C111-C121-C122-C136-C130-C128</f>
        <v>482532.3</v>
      </c>
      <c r="D106" s="89">
        <f>SUM(D107:D146)-D114-D118+D147-D138-D139-D108-D111-D121-D122-D136-D130-D128</f>
        <v>132153.19999999998</v>
      </c>
      <c r="E106" s="90">
        <f>D106/D149*100</f>
        <v>29.295876308999606</v>
      </c>
      <c r="F106" s="90">
        <f>D106/B106*100</f>
        <v>72.75127483681592</v>
      </c>
      <c r="G106" s="90">
        <f t="shared" si="12"/>
        <v>27.387430851779243</v>
      </c>
      <c r="H106" s="89">
        <f t="shared" si="13"/>
        <v>49497.5</v>
      </c>
      <c r="I106" s="89">
        <f t="shared" si="14"/>
        <v>350379.1</v>
      </c>
    </row>
    <row r="107" spans="1:9" ht="37.5">
      <c r="A107" s="31" t="s">
        <v>64</v>
      </c>
      <c r="B107" s="75">
        <v>1007</v>
      </c>
      <c r="C107" s="71">
        <v>2166.2</v>
      </c>
      <c r="D107" s="76">
        <f>142.7+0.9+78.6+37.4+44.2+140.1+1+20.9+25.7+0.2+2+0.6+0.4+1.8+1.5-0.1+62.6+2.1+1.9</f>
        <v>564.4999999999999</v>
      </c>
      <c r="E107" s="6">
        <f>D107/D106*100</f>
        <v>0.4271557555927514</v>
      </c>
      <c r="F107" s="6">
        <f t="shared" si="15"/>
        <v>56.057596822244285</v>
      </c>
      <c r="G107" s="6">
        <f t="shared" si="12"/>
        <v>26.059458960391467</v>
      </c>
      <c r="H107" s="65">
        <f aca="true" t="shared" si="16" ref="H107:H147">B107-D107</f>
        <v>442.5000000000001</v>
      </c>
      <c r="I107" s="65">
        <f t="shared" si="14"/>
        <v>1601.6999999999998</v>
      </c>
    </row>
    <row r="108" spans="1:9" ht="18">
      <c r="A108" s="26" t="s">
        <v>32</v>
      </c>
      <c r="B108" s="78">
        <v>589.7</v>
      </c>
      <c r="C108" s="48">
        <v>1213.5</v>
      </c>
      <c r="D108" s="79">
        <f>142.7+0.9+78.6+37.4+20.9+42.5</f>
        <v>322.99999999999994</v>
      </c>
      <c r="E108" s="1">
        <f>D108/D107*100</f>
        <v>57.21877767936226</v>
      </c>
      <c r="F108" s="1">
        <f t="shared" si="15"/>
        <v>54.7736137018823</v>
      </c>
      <c r="G108" s="1">
        <f t="shared" si="12"/>
        <v>26.617222908941073</v>
      </c>
      <c r="H108" s="48">
        <f t="shared" si="16"/>
        <v>266.7000000000001</v>
      </c>
      <c r="I108" s="48">
        <f t="shared" si="14"/>
        <v>890.5</v>
      </c>
    </row>
    <row r="109" spans="1:9" ht="34.5" customHeight="1">
      <c r="A109" s="16" t="s">
        <v>95</v>
      </c>
      <c r="B109" s="77">
        <v>188.3</v>
      </c>
      <c r="C109" s="65">
        <v>778.3</v>
      </c>
      <c r="D109" s="76">
        <f>26.5+20.2+7.7+37.4+7.5+38.9-0.1+38.9</f>
        <v>177.00000000000003</v>
      </c>
      <c r="E109" s="6">
        <f>D109/D106*100</f>
        <v>0.13393546278107532</v>
      </c>
      <c r="F109" s="6">
        <f>D109/B109*100</f>
        <v>93.99893786510887</v>
      </c>
      <c r="G109" s="6">
        <f t="shared" si="12"/>
        <v>22.74187331363228</v>
      </c>
      <c r="H109" s="65">
        <f t="shared" si="16"/>
        <v>11.299999999999983</v>
      </c>
      <c r="I109" s="65">
        <f t="shared" si="14"/>
        <v>601.3</v>
      </c>
    </row>
    <row r="110" spans="1:9" s="41" customFormat="1" ht="34.5" customHeight="1">
      <c r="A110" s="16" t="s">
        <v>71</v>
      </c>
      <c r="B110" s="77">
        <v>348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348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20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20</v>
      </c>
      <c r="I112" s="65">
        <f t="shared" si="14"/>
        <v>50</v>
      </c>
    </row>
    <row r="113" spans="1:9" ht="37.5">
      <c r="A113" s="16" t="s">
        <v>46</v>
      </c>
      <c r="B113" s="77">
        <v>801.2</v>
      </c>
      <c r="C113" s="65">
        <v>1795.8</v>
      </c>
      <c r="D113" s="76">
        <f>82.2+4.4+0.2+16.8+100.8+0.1+8.3+21.3+93.2+14.5+11.8+88.2+4.6+1.1+5.8</f>
        <v>453.30000000000007</v>
      </c>
      <c r="E113" s="6">
        <f>D113/D106*100</f>
        <v>0.34301099027492343</v>
      </c>
      <c r="F113" s="6">
        <f t="shared" si="15"/>
        <v>56.57763354967549</v>
      </c>
      <c r="G113" s="6">
        <f t="shared" si="12"/>
        <v>25.242231874373545</v>
      </c>
      <c r="H113" s="65">
        <f t="shared" si="16"/>
        <v>347.9</v>
      </c>
      <c r="I113" s="65">
        <f t="shared" si="14"/>
        <v>1342.5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67.2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67.2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107.9</v>
      </c>
      <c r="C117" s="57">
        <v>229.6</v>
      </c>
      <c r="D117" s="76">
        <f>17.1-0.3+0.8+0.3+21.4+4.2+0.3+17.6+4.2+0.8+0.3+16.8+0.3+2</f>
        <v>85.79999999999998</v>
      </c>
      <c r="E117" s="6">
        <f>D117/D106*100</f>
        <v>0.06492464805997887</v>
      </c>
      <c r="F117" s="6">
        <f t="shared" si="15"/>
        <v>79.5180722891566</v>
      </c>
      <c r="G117" s="6">
        <f t="shared" si="12"/>
        <v>37.36933797909407</v>
      </c>
      <c r="H117" s="65">
        <f t="shared" si="16"/>
        <v>22.100000000000023</v>
      </c>
      <c r="I117" s="65">
        <f t="shared" si="14"/>
        <v>143.8</v>
      </c>
    </row>
    <row r="118" spans="1:9" s="36" customFormat="1" ht="18">
      <c r="A118" s="37" t="s">
        <v>53</v>
      </c>
      <c r="B118" s="78">
        <v>84.9</v>
      </c>
      <c r="C118" s="48">
        <v>170.2</v>
      </c>
      <c r="D118" s="79">
        <f>17.1-0.3+16.8+16.8+16.8</f>
        <v>67.2</v>
      </c>
      <c r="E118" s="1">
        <f>D118/D117*100</f>
        <v>78.32167832167835</v>
      </c>
      <c r="F118" s="1">
        <f t="shared" si="15"/>
        <v>79.15194346289752</v>
      </c>
      <c r="G118" s="1">
        <f t="shared" si="12"/>
        <v>39.48296122209166</v>
      </c>
      <c r="H118" s="48">
        <f t="shared" si="16"/>
        <v>17.700000000000003</v>
      </c>
      <c r="I118" s="48">
        <f t="shared" si="14"/>
        <v>102.99999999999999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467.6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467.6</v>
      </c>
      <c r="I120" s="65">
        <f t="shared" si="14"/>
        <v>580.7</v>
      </c>
    </row>
    <row r="121" spans="1:9" s="110" customFormat="1" ht="18">
      <c r="A121" s="26" t="s">
        <v>97</v>
      </c>
      <c r="B121" s="78">
        <v>80</v>
      </c>
      <c r="C121" s="48">
        <v>80</v>
      </c>
      <c r="D121" s="79"/>
      <c r="E121" s="6"/>
      <c r="F121" s="1">
        <f>D121/B121*100</f>
        <v>0</v>
      </c>
      <c r="G121" s="1">
        <f t="shared" si="12"/>
        <v>0</v>
      </c>
      <c r="H121" s="48">
        <f t="shared" si="16"/>
        <v>80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f>6101+4172.4</f>
        <v>10273.4</v>
      </c>
      <c r="C123" s="57">
        <f>5096.9+1707.5+6000</f>
        <v>12804.4</v>
      </c>
      <c r="D123" s="80">
        <f>3776+7.6+1124+100+14.3+14.5+0.1+20.4</f>
        <v>5056.900000000001</v>
      </c>
      <c r="E123" s="17">
        <f>D123/D106*100</f>
        <v>3.8265437386306207</v>
      </c>
      <c r="F123" s="6">
        <f t="shared" si="15"/>
        <v>49.223236708392555</v>
      </c>
      <c r="G123" s="6">
        <f t="shared" si="12"/>
        <v>39.49345537471495</v>
      </c>
      <c r="H123" s="65">
        <f t="shared" si="16"/>
        <v>5216.499999999999</v>
      </c>
      <c r="I123" s="65">
        <f t="shared" si="14"/>
        <v>7747.499999999999</v>
      </c>
    </row>
    <row r="124" spans="1:9" s="2" customFormat="1" ht="18.75">
      <c r="A124" s="16" t="s">
        <v>118</v>
      </c>
      <c r="B124" s="77">
        <v>70</v>
      </c>
      <c r="C124" s="57">
        <v>1239</v>
      </c>
      <c r="D124" s="80"/>
      <c r="E124" s="17">
        <f>D124/D106*100</f>
        <v>0</v>
      </c>
      <c r="F124" s="133">
        <f t="shared" si="15"/>
        <v>0</v>
      </c>
      <c r="G124" s="6">
        <f t="shared" si="12"/>
        <v>0</v>
      </c>
      <c r="H124" s="65">
        <f t="shared" si="16"/>
        <v>70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0.01717703392729045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362.5</v>
      </c>
      <c r="C127" s="57">
        <v>983</v>
      </c>
      <c r="D127" s="80">
        <f>2.8+14.4+2.8+8.8+3.7+4+2.8+5.8+9.6+4.2+2.7+0.2</f>
        <v>61.800000000000004</v>
      </c>
      <c r="E127" s="17">
        <f>D127/D106*100</f>
        <v>0.04676390734390088</v>
      </c>
      <c r="F127" s="6">
        <f t="shared" si="15"/>
        <v>17.04827586206897</v>
      </c>
      <c r="G127" s="6">
        <f t="shared" si="12"/>
        <v>6.2868769074262465</v>
      </c>
      <c r="H127" s="65">
        <f t="shared" si="16"/>
        <v>300.7</v>
      </c>
      <c r="I127" s="65">
        <f t="shared" si="14"/>
        <v>921.2</v>
      </c>
    </row>
    <row r="128" spans="1:9" s="36" customFormat="1" ht="18">
      <c r="A128" s="26" t="s">
        <v>111</v>
      </c>
      <c r="B128" s="78">
        <v>311.6</v>
      </c>
      <c r="C128" s="48">
        <v>851.8</v>
      </c>
      <c r="D128" s="79">
        <f>2.8+2.8-0.1+2.8+2.7</f>
        <v>11</v>
      </c>
      <c r="E128" s="1">
        <f>D128/D127*100</f>
        <v>17.79935275080906</v>
      </c>
      <c r="F128" s="1">
        <f>D128/B128*100</f>
        <v>3.530166880616174</v>
      </c>
      <c r="G128" s="1">
        <f t="shared" si="12"/>
        <v>1.2913829537450108</v>
      </c>
      <c r="H128" s="48">
        <f t="shared" si="16"/>
        <v>300.6</v>
      </c>
      <c r="I128" s="48">
        <f t="shared" si="14"/>
        <v>840.8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25.4</v>
      </c>
      <c r="C131" s="57">
        <v>64.1</v>
      </c>
      <c r="D131" s="80">
        <f>0.8+2.3+1.8</f>
        <v>4.8999999999999995</v>
      </c>
      <c r="E131" s="17">
        <f>D131/D106*100</f>
        <v>0.0037078178961992597</v>
      </c>
      <c r="F131" s="6">
        <f t="shared" si="15"/>
        <v>19.291338582677163</v>
      </c>
      <c r="G131" s="6">
        <f t="shared" si="12"/>
        <v>7.644305772230889</v>
      </c>
      <c r="H131" s="65">
        <f t="shared" si="16"/>
        <v>20.5</v>
      </c>
      <c r="I131" s="65">
        <f t="shared" si="14"/>
        <v>59.199999999999996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224.2</v>
      </c>
      <c r="C133" s="57">
        <v>600</v>
      </c>
      <c r="D133" s="80">
        <f>0.8+5+0.9+2.6-0.1+0.6</f>
        <v>9.8</v>
      </c>
      <c r="E133" s="17">
        <f>D133/D106*100</f>
        <v>0.007415635792398521</v>
      </c>
      <c r="F133" s="6">
        <f t="shared" si="15"/>
        <v>4.3710972346119545</v>
      </c>
      <c r="G133" s="6">
        <f t="shared" si="12"/>
        <v>1.6333333333333335</v>
      </c>
      <c r="H133" s="65">
        <f t="shared" si="16"/>
        <v>214.39999999999998</v>
      </c>
      <c r="I133" s="65">
        <f t="shared" si="14"/>
        <v>590.2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176.4</v>
      </c>
      <c r="C135" s="57">
        <v>363.7</v>
      </c>
      <c r="D135" s="80">
        <f>5.2+0.3+2.7+0.1+0.5+0.2+13.8+39.2+5+5.9+2</f>
        <v>74.9</v>
      </c>
      <c r="E135" s="17">
        <f>D135/D106*100</f>
        <v>0.056676644984760126</v>
      </c>
      <c r="F135" s="6">
        <f t="shared" si="15"/>
        <v>42.46031746031746</v>
      </c>
      <c r="G135" s="6">
        <f>D135/C135*100</f>
        <v>20.59389606818807</v>
      </c>
      <c r="H135" s="65">
        <f t="shared" si="16"/>
        <v>101.5</v>
      </c>
      <c r="I135" s="65">
        <f t="shared" si="14"/>
        <v>288.79999999999995</v>
      </c>
    </row>
    <row r="136" spans="1:9" s="36" customFormat="1" ht="18">
      <c r="A136" s="26" t="s">
        <v>32</v>
      </c>
      <c r="B136" s="78">
        <v>116.7</v>
      </c>
      <c r="C136" s="48">
        <v>218.8</v>
      </c>
      <c r="D136" s="79">
        <f>0.3+39.3+0.2+2</f>
        <v>41.8</v>
      </c>
      <c r="E136" s="111">
        <f>D136/D135*100</f>
        <v>55.80774365821094</v>
      </c>
      <c r="F136" s="1">
        <f t="shared" si="15"/>
        <v>35.818337617823474</v>
      </c>
      <c r="G136" s="1">
        <f>D136/C136*100</f>
        <v>19.104204753199266</v>
      </c>
      <c r="H136" s="48">
        <f t="shared" si="16"/>
        <v>74.9</v>
      </c>
      <c r="I136" s="48">
        <f t="shared" si="14"/>
        <v>177</v>
      </c>
    </row>
    <row r="137" spans="1:9" s="2" customFormat="1" ht="18.75">
      <c r="A137" s="16" t="s">
        <v>31</v>
      </c>
      <c r="B137" s="77">
        <v>477.1</v>
      </c>
      <c r="C137" s="57">
        <v>1160.2</v>
      </c>
      <c r="D137" s="80">
        <f>26.5+42.3+30.1+3.6+8.6+42.3+0.1+5.7+31.9+5.2+42.5+11.7+55+45.4+28.3+17.8</f>
        <v>396.99999999999994</v>
      </c>
      <c r="E137" s="17">
        <f>D137/D106*100</f>
        <v>0.3004089193451237</v>
      </c>
      <c r="F137" s="6">
        <f t="shared" si="15"/>
        <v>83.21106686229301</v>
      </c>
      <c r="G137" s="6">
        <f t="shared" si="12"/>
        <v>34.2182382347871</v>
      </c>
      <c r="H137" s="65">
        <f t="shared" si="16"/>
        <v>80.10000000000008</v>
      </c>
      <c r="I137" s="65">
        <f t="shared" si="14"/>
        <v>763.2</v>
      </c>
    </row>
    <row r="138" spans="1:9" s="36" customFormat="1" ht="18">
      <c r="A138" s="37" t="s">
        <v>53</v>
      </c>
      <c r="B138" s="78">
        <v>369.8</v>
      </c>
      <c r="C138" s="48">
        <v>886.2</v>
      </c>
      <c r="D138" s="79">
        <f>26.5+39.8+30.1+42.1+0.1+31.9+40.5+11.2+38.1+30.1+28.3+17.4</f>
        <v>336.1</v>
      </c>
      <c r="E138" s="1">
        <f>D138/D137*100</f>
        <v>84.65994962216627</v>
      </c>
      <c r="F138" s="1">
        <f aca="true" t="shared" si="17" ref="F138:F146">D138/B138*100</f>
        <v>90.8869659275284</v>
      </c>
      <c r="G138" s="1">
        <f t="shared" si="12"/>
        <v>37.92597607763485</v>
      </c>
      <c r="H138" s="48">
        <f t="shared" si="16"/>
        <v>33.69999999999999</v>
      </c>
      <c r="I138" s="48">
        <f t="shared" si="14"/>
        <v>550.1</v>
      </c>
    </row>
    <row r="139" spans="1:9" s="36" customFormat="1" ht="18">
      <c r="A139" s="26" t="s">
        <v>32</v>
      </c>
      <c r="B139" s="78">
        <v>22.4</v>
      </c>
      <c r="C139" s="48">
        <v>39.3</v>
      </c>
      <c r="D139" s="79">
        <f>8.6+0.2+0.3+5.1+0.4+5.3+0.3</f>
        <v>20.2</v>
      </c>
      <c r="E139" s="1">
        <f>D139/D137*100</f>
        <v>5.088161209068011</v>
      </c>
      <c r="F139" s="1">
        <f t="shared" si="17"/>
        <v>90.17857142857143</v>
      </c>
      <c r="G139" s="1">
        <f>D139/C139*100</f>
        <v>51.399491094147585</v>
      </c>
      <c r="H139" s="48">
        <f t="shared" si="16"/>
        <v>2.1999999999999993</v>
      </c>
      <c r="I139" s="48">
        <f t="shared" si="14"/>
        <v>19.099999999999998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0.26106064779362137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18612.8+756.7</f>
        <v>19369.5</v>
      </c>
      <c r="C142" s="57">
        <f>16744+15000+2000</f>
        <v>33744</v>
      </c>
      <c r="D142" s="80">
        <f>112.8+55.6+128.7+0.1+105.3+21.7+331.5+41.9+106.9+1197.5+64.4+33.5+768.6+5.6+65.8+1473+34.4+335.2+312.9+1166.8+460.5+1222.9+80.6+345.1+0.1+100+568+208.9+692.3+545.3</f>
        <v>10585.899999999998</v>
      </c>
      <c r="E142" s="17">
        <f>D142/D106*100</f>
        <v>8.010324381097089</v>
      </c>
      <c r="F142" s="107">
        <f t="shared" si="17"/>
        <v>54.652417460440375</v>
      </c>
      <c r="G142" s="6">
        <f t="shared" si="12"/>
        <v>31.371206733048833</v>
      </c>
      <c r="H142" s="65">
        <f t="shared" si="16"/>
        <v>8783.600000000002</v>
      </c>
      <c r="I142" s="65">
        <f t="shared" si="14"/>
        <v>23158.100000000002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4208.7</v>
      </c>
      <c r="C144" s="57">
        <v>6504.8</v>
      </c>
      <c r="D144" s="80">
        <f>2094</f>
        <v>2094</v>
      </c>
      <c r="E144" s="17">
        <f>D144/D106*100</f>
        <v>1.5845246274778062</v>
      </c>
      <c r="F144" s="107">
        <f t="shared" si="17"/>
        <v>49.75408083256113</v>
      </c>
      <c r="G144" s="6">
        <f t="shared" si="12"/>
        <v>32.1916123478047</v>
      </c>
      <c r="H144" s="65">
        <f t="shared" si="16"/>
        <v>2114.7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568.7+16.6-0.1+15.4+2.1</f>
        <v>602.7</v>
      </c>
      <c r="E145" s="17">
        <f>D145/D106*100</f>
        <v>0.45606160123250905</v>
      </c>
      <c r="F145" s="107">
        <f t="shared" si="17"/>
        <v>100</v>
      </c>
      <c r="G145" s="6">
        <f t="shared" si="12"/>
        <v>100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>
      <c r="A146" s="16" t="s">
        <v>62</v>
      </c>
      <c r="B146" s="77">
        <v>130289.5</v>
      </c>
      <c r="C146" s="57">
        <f>298394.8+81857.1-188.4+8192</f>
        <v>388255.5</v>
      </c>
      <c r="D146" s="80">
        <f>26548.7+545.5+173+4155.7+7306.3+113.6+824.5+6.1+72.3+8+1047.4+410+6261.9+444+5000+62+300+4421.1+9632.9+10381.2+4798+2674.1+4582.7+1925.2+5487.5+2575.7+1386.8</f>
        <v>101144.2</v>
      </c>
      <c r="E146" s="17">
        <f>D146/D106*100</f>
        <v>76.53556629729738</v>
      </c>
      <c r="F146" s="6">
        <f t="shared" si="17"/>
        <v>77.63035394256636</v>
      </c>
      <c r="G146" s="6">
        <f t="shared" si="12"/>
        <v>26.05093810647885</v>
      </c>
      <c r="H146" s="65">
        <f t="shared" si="16"/>
        <v>29145.300000000003</v>
      </c>
      <c r="I146" s="65">
        <f t="shared" si="14"/>
        <v>287111.3</v>
      </c>
      <c r="K146" s="99"/>
      <c r="L146" s="42"/>
    </row>
    <row r="147" spans="1:12" s="2" customFormat="1" ht="18.75">
      <c r="A147" s="16" t="s">
        <v>105</v>
      </c>
      <c r="B147" s="77">
        <v>12084</v>
      </c>
      <c r="C147" s="57">
        <v>29001.6</v>
      </c>
      <c r="D147" s="80">
        <f>805.6+805.6+805.6+805.6+805.6+805.6+805.6+805.6+805.6+805.6+805.6+805.6+805.6</f>
        <v>10472.800000000003</v>
      </c>
      <c r="E147" s="17">
        <f>D147/D106*100</f>
        <v>7.924741890472577</v>
      </c>
      <c r="F147" s="6">
        <f t="shared" si="15"/>
        <v>86.66666666666669</v>
      </c>
      <c r="G147" s="6">
        <f t="shared" si="12"/>
        <v>36.11111111111112</v>
      </c>
      <c r="H147" s="65">
        <f t="shared" si="16"/>
        <v>1611.199999999997</v>
      </c>
      <c r="I147" s="65">
        <f t="shared" si="14"/>
        <v>18528.799999999996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186820.3</v>
      </c>
      <c r="C148" s="81">
        <f>C43+C68+C71+C76+C78+C86+C101+C106+C99+C83+C97</f>
        <v>496352.5</v>
      </c>
      <c r="D148" s="57">
        <f>D43+D68+D71+D76+D78+D86+D101+D106+D99+D83+D97</f>
        <v>135744.99999999997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590111.8999999999</v>
      </c>
      <c r="C149" s="51">
        <f>C6+C18+C33+C43+C51+C58+C68+C71+C76+C78+C86+C89+C94+C101+C106+C99+C83+C97+C45</f>
        <v>1395275.6</v>
      </c>
      <c r="D149" s="51">
        <f>D6+D18+D33+D43+D51+D58+D68+D71+D76+D78+D86+D89+D94+D101+D106+D99+D83+D97+D45</f>
        <v>451098.30000000005</v>
      </c>
      <c r="E149" s="35">
        <v>100</v>
      </c>
      <c r="F149" s="3">
        <f>D149/B149*100</f>
        <v>76.44284075613457</v>
      </c>
      <c r="G149" s="3">
        <f aca="true" t="shared" si="18" ref="G149:G155">D149/C149*100</f>
        <v>32.330408415369696</v>
      </c>
      <c r="H149" s="51">
        <f aca="true" t="shared" si="19" ref="H149:H155">B149-D149</f>
        <v>139013.59999999986</v>
      </c>
      <c r="I149" s="51">
        <f aca="true" t="shared" si="20" ref="I149:I155">C149-D149</f>
        <v>944177.3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247527.19999999995</v>
      </c>
      <c r="C150" s="64">
        <f>C8+C20+C34+C52+C59+C90+C114+C118+C46+C138+C130+C102</f>
        <v>587319.2999999998</v>
      </c>
      <c r="D150" s="64">
        <f>D8+D20+D34+D52+D59+D90+D114+D118+D46+D138+D130+D102</f>
        <v>203861.69999999998</v>
      </c>
      <c r="E150" s="6">
        <f>D150/D149*100</f>
        <v>45.19230065819356</v>
      </c>
      <c r="F150" s="6">
        <f aca="true" t="shared" si="21" ref="F150:F161">D150/B150*100</f>
        <v>82.3593124311187</v>
      </c>
      <c r="G150" s="6">
        <f t="shared" si="18"/>
        <v>34.71053990563566</v>
      </c>
      <c r="H150" s="65">
        <f t="shared" si="19"/>
        <v>43665.49999999997</v>
      </c>
      <c r="I150" s="76">
        <f t="shared" si="20"/>
        <v>383457.59999999986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57099.499999999985</v>
      </c>
      <c r="C151" s="65">
        <f>C11+C23+C36+C55+C61+C91+C49+C139+C108+C111+C95+C136</f>
        <v>114263.80000000002</v>
      </c>
      <c r="D151" s="65">
        <f>D11+D23+D36+D55+D61+D91+D49+D139+D108+D111+D95+D136</f>
        <v>44300.700000000004</v>
      </c>
      <c r="E151" s="6">
        <f>D151/D149*100</f>
        <v>9.820631112996878</v>
      </c>
      <c r="F151" s="6">
        <f t="shared" si="21"/>
        <v>77.58509268907787</v>
      </c>
      <c r="G151" s="6">
        <f t="shared" si="18"/>
        <v>38.770546752339754</v>
      </c>
      <c r="H151" s="65">
        <f t="shared" si="19"/>
        <v>12798.799999999981</v>
      </c>
      <c r="I151" s="76">
        <f t="shared" si="20"/>
        <v>69963.1</v>
      </c>
      <c r="K151" s="43"/>
      <c r="L151" s="98"/>
    </row>
    <row r="152" spans="1:12" ht="18.75">
      <c r="A152" s="20" t="s">
        <v>1</v>
      </c>
      <c r="B152" s="64">
        <f>B22+B10+B54+B48+B60+B35+B122</f>
        <v>18764.2</v>
      </c>
      <c r="C152" s="64">
        <f>C22+C10+C54+C48+C60+C35+C122</f>
        <v>32660.300000000003</v>
      </c>
      <c r="D152" s="64">
        <f>D22+D10+D54+D48+D60+D35+D122</f>
        <v>11851.200000000003</v>
      </c>
      <c r="E152" s="6">
        <f>D152/D149*100</f>
        <v>2.627187910040894</v>
      </c>
      <c r="F152" s="6">
        <f t="shared" si="21"/>
        <v>63.15856791123523</v>
      </c>
      <c r="G152" s="6">
        <f t="shared" si="18"/>
        <v>36.28625579066941</v>
      </c>
      <c r="H152" s="65">
        <f t="shared" si="19"/>
        <v>6912.999999999998</v>
      </c>
      <c r="I152" s="76">
        <f t="shared" si="20"/>
        <v>20809.1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10697.300000000001</v>
      </c>
      <c r="C153" s="64">
        <f>C12+C24+C103+C62+C38+C92+C128</f>
        <v>29141.7</v>
      </c>
      <c r="D153" s="64">
        <f>D12+D24+D103+D62+D38+D92+D128</f>
        <v>8314.699999999999</v>
      </c>
      <c r="E153" s="6">
        <f>D153/D149*100</f>
        <v>1.843212443939602</v>
      </c>
      <c r="F153" s="6">
        <f t="shared" si="21"/>
        <v>77.72709001336784</v>
      </c>
      <c r="G153" s="6">
        <f t="shared" si="18"/>
        <v>28.531966220227368</v>
      </c>
      <c r="H153" s="65">
        <f t="shared" si="19"/>
        <v>2382.600000000002</v>
      </c>
      <c r="I153" s="76">
        <f t="shared" si="20"/>
        <v>20827</v>
      </c>
      <c r="K153" s="43"/>
      <c r="L153" s="98"/>
    </row>
    <row r="154" spans="1:12" ht="18.75">
      <c r="A154" s="20" t="s">
        <v>2</v>
      </c>
      <c r="B154" s="64">
        <f>B9+B21+B47+B53+B121</f>
        <v>10717.4</v>
      </c>
      <c r="C154" s="64">
        <f>C9+C21+C47+C53+C121</f>
        <v>21133.1</v>
      </c>
      <c r="D154" s="64">
        <f>D9+D21+D47+D53+D121</f>
        <v>6833.999999999999</v>
      </c>
      <c r="E154" s="6">
        <f>D154/D149*100</f>
        <v>1.5149691320051524</v>
      </c>
      <c r="F154" s="6">
        <f t="shared" si="21"/>
        <v>63.765465504693296</v>
      </c>
      <c r="G154" s="6">
        <f t="shared" si="18"/>
        <v>32.337896475197674</v>
      </c>
      <c r="H154" s="65">
        <f t="shared" si="19"/>
        <v>3883.4000000000005</v>
      </c>
      <c r="I154" s="76">
        <f t="shared" si="20"/>
        <v>14299.099999999999</v>
      </c>
      <c r="K154" s="43"/>
      <c r="L154" s="44"/>
    </row>
    <row r="155" spans="1:12" ht="19.5" thickBot="1">
      <c r="A155" s="20" t="s">
        <v>34</v>
      </c>
      <c r="B155" s="64">
        <f>B149-B150-B151-B152-B153-B154</f>
        <v>245306.29999999996</v>
      </c>
      <c r="C155" s="64">
        <f>C149-C150-C151-C152-C153-C154</f>
        <v>610757.4000000003</v>
      </c>
      <c r="D155" s="64">
        <f>D149-D150-D151-D152-D153-D154</f>
        <v>175936.00000000003</v>
      </c>
      <c r="E155" s="6">
        <f>D155/D149*100</f>
        <v>39.001698742823905</v>
      </c>
      <c r="F155" s="6">
        <f t="shared" si="21"/>
        <v>71.72094642493897</v>
      </c>
      <c r="G155" s="40">
        <f t="shared" si="18"/>
        <v>28.806200301461754</v>
      </c>
      <c r="H155" s="65">
        <f t="shared" si="19"/>
        <v>69370.29999999993</v>
      </c>
      <c r="I155" s="65">
        <f t="shared" si="20"/>
        <v>434821.40000000026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11164.3</v>
      </c>
      <c r="C157" s="70">
        <f>11264.2-188.4+16049.8</f>
        <v>27125.6</v>
      </c>
      <c r="D157" s="70">
        <f>33+3.1+31.8+118.6+8.5</f>
        <v>195</v>
      </c>
      <c r="E157" s="14"/>
      <c r="F157" s="6">
        <f t="shared" si="21"/>
        <v>1.7466388398735255</v>
      </c>
      <c r="G157" s="6">
        <f aca="true" t="shared" si="22" ref="G157:G166">D157/C157*100</f>
        <v>0.7188781077653582</v>
      </c>
      <c r="H157" s="6">
        <f>B157-D157</f>
        <v>10969.3</v>
      </c>
      <c r="I157" s="6">
        <f aca="true" t="shared" si="23" ref="I157:I166">C157-D157</f>
        <v>26930.6</v>
      </c>
      <c r="K157" s="43"/>
      <c r="L157" s="43"/>
    </row>
    <row r="158" spans="1:12" ht="18.75">
      <c r="A158" s="20" t="s">
        <v>22</v>
      </c>
      <c r="B158" s="85">
        <f>18441-150</f>
        <v>18291</v>
      </c>
      <c r="C158" s="64">
        <f>40292-150</f>
        <v>40142</v>
      </c>
      <c r="D158" s="64">
        <f>100+49.9+293.6+174.2+159.5+52+404.4+89.3+150+694.7</f>
        <v>2167.6</v>
      </c>
      <c r="E158" s="6"/>
      <c r="F158" s="6">
        <f t="shared" si="21"/>
        <v>11.85063692526379</v>
      </c>
      <c r="G158" s="6">
        <f t="shared" si="22"/>
        <v>5.399830601365154</v>
      </c>
      <c r="H158" s="6">
        <f aca="true" t="shared" si="24" ref="H158:H165">B158-D158</f>
        <v>16123.4</v>
      </c>
      <c r="I158" s="6">
        <f t="shared" si="23"/>
        <v>37974.4</v>
      </c>
      <c r="K158" s="43"/>
      <c r="L158" s="43"/>
    </row>
    <row r="159" spans="1:12" ht="18.75">
      <c r="A159" s="20" t="s">
        <v>58</v>
      </c>
      <c r="B159" s="85">
        <f>157087.7+150</f>
        <v>157237.7</v>
      </c>
      <c r="C159" s="64">
        <f>253351.6+55+5844.1+52645.5+25515.3+150</f>
        <v>337561.5</v>
      </c>
      <c r="D159" s="64">
        <f>12.5+3344.4+45.2+21.2+85.3+173+1150+146+881.8+6.7+72.3+7.9+1090.6+406.5+1979.4+513.5+90.2+25+189.9+299.5+4617.2+143.8+383.9+349+1337.3+105+3537.4+179.7+0.2+347+89.2+455.4+1183.6+1049</f>
        <v>24318.600000000002</v>
      </c>
      <c r="E159" s="6"/>
      <c r="F159" s="6">
        <f t="shared" si="21"/>
        <v>15.466138209856798</v>
      </c>
      <c r="G159" s="6">
        <f t="shared" si="22"/>
        <v>7.204198346079159</v>
      </c>
      <c r="H159" s="6">
        <f t="shared" si="24"/>
        <v>132919.1</v>
      </c>
      <c r="I159" s="6">
        <f t="shared" si="23"/>
        <v>313242.9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f>8267-150</f>
        <v>8117</v>
      </c>
      <c r="C161" s="64">
        <f>9501+4181.1</f>
        <v>13682.1</v>
      </c>
      <c r="D161" s="64">
        <f>49.9+127.8+39.6+53.8+398.2+8.4+32.5+231.9+89.8+103.6+52.4+19.2+179.2+118+109.5+32.3+81.3+0.1+165.4+333.7+47.5+192.2</f>
        <v>2466.2999999999997</v>
      </c>
      <c r="E161" s="17"/>
      <c r="F161" s="6">
        <f t="shared" si="21"/>
        <v>30.384378464950103</v>
      </c>
      <c r="G161" s="6">
        <f t="shared" si="22"/>
        <v>18.025741662464092</v>
      </c>
      <c r="H161" s="6">
        <f t="shared" si="24"/>
        <v>5650.700000000001</v>
      </c>
      <c r="I161" s="6">
        <f t="shared" si="23"/>
        <v>11215.800000000001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852.5</v>
      </c>
      <c r="C163" s="64">
        <v>2118.3</v>
      </c>
      <c r="D163" s="64">
        <f>394.4+14</f>
        <v>408.4</v>
      </c>
      <c r="E163" s="17"/>
      <c r="F163" s="6">
        <f>D163/B163*100</f>
        <v>47.906158357771254</v>
      </c>
      <c r="G163" s="6">
        <f t="shared" si="22"/>
        <v>19.279611008827832</v>
      </c>
      <c r="H163" s="6">
        <f t="shared" si="24"/>
        <v>444.1</v>
      </c>
      <c r="I163" s="6">
        <f t="shared" si="23"/>
        <v>1709.9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785774.3999999999</v>
      </c>
      <c r="C166" s="87">
        <f>C149+C157+C161+C162+C158+C165+C164+C159+C163+C160</f>
        <v>1815905.1000000003</v>
      </c>
      <c r="D166" s="87">
        <f>D149+D157+D161+D162+D158+D165+D164+D159+D163+D160</f>
        <v>480654.2</v>
      </c>
      <c r="E166" s="22"/>
      <c r="F166" s="3">
        <f>D166/B166*100</f>
        <v>61.169490886951785</v>
      </c>
      <c r="G166" s="3">
        <f t="shared" si="22"/>
        <v>26.46912550661375</v>
      </c>
      <c r="H166" s="3">
        <f>B166-D166</f>
        <v>305120.1999999999</v>
      </c>
      <c r="I166" s="3">
        <f t="shared" si="23"/>
        <v>1335250.9000000004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1395275.6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451098.30000000005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1395275.6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451098.30000000005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2016-04-29T11:14:16Z</cp:lastPrinted>
  <dcterms:created xsi:type="dcterms:W3CDTF">2000-06-20T04:48:00Z</dcterms:created>
  <dcterms:modified xsi:type="dcterms:W3CDTF">2016-05-19T05:06:00Z</dcterms:modified>
  <cp:category/>
  <cp:version/>
  <cp:contentType/>
  <cp:contentStatus/>
</cp:coreProperties>
</file>